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5dbcad7e2bd9ce/Documents NY/AF Hasselhøj/Regnskab 2019/"/>
    </mc:Choice>
  </mc:AlternateContent>
  <xr:revisionPtr revIDLastSave="67" documentId="114_{AC61BF1F-920F-45DB-AD89-1E250B183A50}" xr6:coauthVersionLast="45" xr6:coauthVersionMax="45" xr10:uidLastSave="{EC4F096E-E4EC-40B1-BB9A-62E8BCE75B1A}"/>
  <bookViews>
    <workbookView xWindow="-108" yWindow="-108" windowWidth="23256" windowHeight="12576" tabRatio="639" firstSheet="1" activeTab="2" xr2:uid="{00000000-000D-0000-FFFF-FFFF00000000}"/>
  </bookViews>
  <sheets>
    <sheet name="Ark1" sheetId="12" r:id="rId1"/>
    <sheet name="Afstemning bank" sheetId="10" r:id="rId2"/>
    <sheet name="Årsregnskab + budget" sheetId="14" r:id="rId3"/>
  </sheets>
  <definedNames>
    <definedName name="_xlnm.Print_Area" localSheetId="2">'Årsregnskab + budget'!$A$1:$F$72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4" l="1"/>
  <c r="E63" i="14" l="1"/>
  <c r="E21" i="14"/>
  <c r="F13" i="14" l="1"/>
  <c r="F14" i="14"/>
  <c r="D14" i="14" l="1"/>
  <c r="D13" i="14"/>
  <c r="D32" i="14" s="1"/>
  <c r="D5" i="14"/>
  <c r="D10" i="14" s="1"/>
  <c r="C63" i="14"/>
  <c r="C67" i="14" s="1"/>
  <c r="C43" i="14"/>
  <c r="C52" i="14" s="1"/>
  <c r="C32" i="14"/>
  <c r="C34" i="14" s="1"/>
  <c r="B14" i="14"/>
  <c r="B13" i="14"/>
  <c r="B32" i="14" s="1"/>
  <c r="C10" i="14"/>
  <c r="B5" i="14"/>
  <c r="B10" i="14" s="1"/>
  <c r="B34" i="14" l="1"/>
  <c r="D34" i="14"/>
  <c r="I22" i="10" l="1"/>
  <c r="C22" i="10"/>
  <c r="E10" i="14" l="1"/>
  <c r="E32" i="14"/>
  <c r="E52" i="14"/>
  <c r="E67" i="14"/>
  <c r="E34" i="14" l="1"/>
  <c r="F32" i="14"/>
  <c r="F10" i="14"/>
  <c r="F34" i="14" l="1"/>
  <c r="I67" i="14"/>
  <c r="H61" i="14"/>
  <c r="H63" i="14" s="1"/>
  <c r="H67" i="14" s="1"/>
  <c r="H42" i="14"/>
  <c r="H52" i="14" s="1"/>
  <c r="J67" i="14" l="1"/>
  <c r="A3" i="12"/>
  <c r="B3" i="12" s="1"/>
  <c r="A4" i="12"/>
  <c r="B4" i="12" s="1"/>
  <c r="A5" i="12"/>
  <c r="B5" i="12" s="1"/>
  <c r="A6" i="12"/>
  <c r="B6" i="12"/>
  <c r="C6" i="12" s="1"/>
  <c r="D6" i="12" s="1"/>
  <c r="A7" i="12"/>
  <c r="B7" i="12" s="1"/>
  <c r="C7" i="12" s="1"/>
  <c r="D7" i="12" s="1"/>
  <c r="C41" i="10"/>
  <c r="I30" i="10"/>
  <c r="I41" i="10" s="1"/>
  <c r="J41" i="10" s="1"/>
  <c r="C5" i="12" l="1"/>
  <c r="D5" i="12" s="1"/>
  <c r="C4" i="12"/>
  <c r="D4" i="12" s="1"/>
  <c r="J22" i="10"/>
  <c r="C3" i="12"/>
  <c r="E4" i="12" l="1"/>
  <c r="E8" i="12" s="1"/>
  <c r="D3" i="12"/>
  <c r="D8" i="12" s="1"/>
  <c r="C8" i="12"/>
</calcChain>
</file>

<file path=xl/sharedStrings.xml><?xml version="1.0" encoding="utf-8"?>
<sst xmlns="http://schemas.openxmlformats.org/spreadsheetml/2006/main" count="86" uniqueCount="80">
  <si>
    <t>I alt indtægter</t>
  </si>
  <si>
    <t>Forsikring</t>
  </si>
  <si>
    <t>Ekstraordinære udgifter</t>
  </si>
  <si>
    <t>I alt udgifter</t>
  </si>
  <si>
    <t>Resultat</t>
  </si>
  <si>
    <t>Indtægter</t>
  </si>
  <si>
    <t>Udgifter</t>
  </si>
  <si>
    <t>Likvid beholdning</t>
  </si>
  <si>
    <t>Aktiver i alt</t>
  </si>
  <si>
    <t>Passiver</t>
  </si>
  <si>
    <t>Kreditorer</t>
  </si>
  <si>
    <t>Egenkapital</t>
  </si>
  <si>
    <t>Egenkapital ultimo</t>
  </si>
  <si>
    <t>Passiver i alt</t>
  </si>
  <si>
    <t>Bank driftskonto</t>
  </si>
  <si>
    <t>Advokatomkostninger</t>
  </si>
  <si>
    <t>Porto</t>
  </si>
  <si>
    <t>Generalforsamling</t>
  </si>
  <si>
    <t>Bestyrelsesmøder</t>
  </si>
  <si>
    <t>Renteindtægter bank</t>
  </si>
  <si>
    <t>Renteudgifter bank</t>
  </si>
  <si>
    <t>Balance</t>
  </si>
  <si>
    <t>Aktiver</t>
  </si>
  <si>
    <t>Periodiseringer</t>
  </si>
  <si>
    <t>Skyldige omkostninger</t>
  </si>
  <si>
    <t>Hensættelser</t>
  </si>
  <si>
    <t>Ifølge bank</t>
  </si>
  <si>
    <t>Ifølge bogholderi</t>
  </si>
  <si>
    <t>Kasse</t>
  </si>
  <si>
    <t>Ifølge kasse</t>
  </si>
  <si>
    <t>Ikke hævet/indsat</t>
  </si>
  <si>
    <t>i bank</t>
  </si>
  <si>
    <t>Ikke bogført</t>
  </si>
  <si>
    <t>Tilgodehavender</t>
  </si>
  <si>
    <t>- restancer</t>
  </si>
  <si>
    <t>- kasse</t>
  </si>
  <si>
    <t>- bank</t>
  </si>
  <si>
    <t>- egenkapital primo</t>
  </si>
  <si>
    <t>- resultat</t>
  </si>
  <si>
    <t>i kassen</t>
  </si>
  <si>
    <t>Gaver</t>
  </si>
  <si>
    <t>Elektricitet</t>
  </si>
  <si>
    <t>Øreafrunding</t>
  </si>
  <si>
    <t>Skyldig moms</t>
  </si>
  <si>
    <t>A/F Hasselhøj</t>
  </si>
  <si>
    <t>Teknisk assistance</t>
  </si>
  <si>
    <t>Bankgebyrer</t>
  </si>
  <si>
    <t>Refusion energiafgift</t>
  </si>
  <si>
    <t>Ekskl. moms</t>
  </si>
  <si>
    <t>Rykkergebyr kontingent</t>
  </si>
  <si>
    <t>Ekstraordinære rente og rykkerudg.</t>
  </si>
  <si>
    <t>2009 budget</t>
  </si>
  <si>
    <t>Beløb inkl. Moms</t>
  </si>
  <si>
    <t>Beløb ekskl. Moms</t>
  </si>
  <si>
    <t>Momsbeløb</t>
  </si>
  <si>
    <t>1. halvår 2009</t>
  </si>
  <si>
    <t>2. halvår 2009</t>
  </si>
  <si>
    <t>- Momstilgodehavende</t>
  </si>
  <si>
    <t>You See Kabel TV</t>
  </si>
  <si>
    <t>Copydan/Verdens TV afgift</t>
  </si>
  <si>
    <t>- Andre tilgodehavender</t>
  </si>
  <si>
    <t>Ekstraordinære udgifter - dødsbo manglende kontingent</t>
  </si>
  <si>
    <t>Foreningscentralen</t>
  </si>
  <si>
    <t>Nets</t>
  </si>
  <si>
    <t>Kontorartikler/fotokopiering</t>
  </si>
  <si>
    <t>Budget 2018</t>
  </si>
  <si>
    <t>Budget 2019</t>
  </si>
  <si>
    <t>Pr. 28-12-2018</t>
  </si>
  <si>
    <t>Regnskab 2018</t>
  </si>
  <si>
    <t>Jeanette Tachau</t>
  </si>
  <si>
    <t xml:space="preserve"> </t>
  </si>
  <si>
    <t>Regnskab 2019</t>
  </si>
  <si>
    <t>HH 404 + HH 312 + HH 203 er ikke medlemmer (pr. 1. januar 2020)</t>
  </si>
  <si>
    <t>Udmeldelse YouSee foreningsservice@yousee.dk, jane søndergaard gude, claus Nielsen</t>
  </si>
  <si>
    <t>Budget 2020</t>
  </si>
  <si>
    <t/>
  </si>
  <si>
    <t>Forudbetalt YouSee 1. kvt. 2020</t>
  </si>
  <si>
    <t>Indtil videre samme beløb som i 2019 pr. husstand. Regnet med 2.000 kr. ekstra</t>
  </si>
  <si>
    <t>Godkendt af revisor 12/1/2019</t>
  </si>
  <si>
    <t>Kontingent 2019 (70x1892) - 2.365 inkl. moms                      Kontingent 2020 (69x2108) - 2.635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</si>
</sst>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rgb="FF003F62"/>
      <name val="Verdana"/>
      <family val="2"/>
    </font>
    <font>
      <sz val="10"/>
      <color rgb="FF77777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2" fontId="0" fillId="0" borderId="1" xfId="0" applyNumberFormat="1" applyBorder="1"/>
    <xf numFmtId="0" fontId="2" fillId="0" borderId="2" xfId="0" applyFont="1" applyBorder="1"/>
    <xf numFmtId="2" fontId="0" fillId="0" borderId="2" xfId="0" applyNumberFormat="1" applyBorder="1"/>
    <xf numFmtId="0" fontId="0" fillId="0" borderId="2" xfId="0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" fontId="0" fillId="0" borderId="0" xfId="0" applyNumberFormat="1"/>
    <xf numFmtId="0" fontId="4" fillId="0" borderId="0" xfId="0" applyFont="1"/>
    <xf numFmtId="164" fontId="0" fillId="0" borderId="1" xfId="0" applyNumberFormat="1" applyBorder="1"/>
    <xf numFmtId="0" fontId="7" fillId="0" borderId="1" xfId="0" applyFont="1" applyBorder="1"/>
    <xf numFmtId="0" fontId="0" fillId="0" borderId="1" xfId="0" quotePrefix="1" applyBorder="1"/>
    <xf numFmtId="164" fontId="2" fillId="0" borderId="1" xfId="0" applyNumberFormat="1" applyFont="1" applyBorder="1"/>
    <xf numFmtId="164" fontId="4" fillId="0" borderId="1" xfId="0" applyNumberFormat="1" applyFont="1" applyBorder="1"/>
    <xf numFmtId="0" fontId="0" fillId="0" borderId="4" xfId="0" applyBorder="1"/>
    <xf numFmtId="43" fontId="0" fillId="0" borderId="0" xfId="0" applyNumberFormat="1"/>
    <xf numFmtId="0" fontId="0" fillId="0" borderId="5" xfId="0" applyBorder="1"/>
    <xf numFmtId="0" fontId="2" fillId="0" borderId="6" xfId="0" applyFont="1" applyBorder="1"/>
    <xf numFmtId="164" fontId="0" fillId="0" borderId="0" xfId="1" applyFont="1"/>
    <xf numFmtId="43" fontId="0" fillId="0" borderId="1" xfId="0" applyNumberFormat="1" applyBorder="1"/>
    <xf numFmtId="0" fontId="4" fillId="0" borderId="1" xfId="0" quotePrefix="1" applyFont="1" applyBorder="1"/>
    <xf numFmtId="164" fontId="0" fillId="0" borderId="1" xfId="1" applyFont="1" applyBorder="1"/>
    <xf numFmtId="0" fontId="0" fillId="0" borderId="0" xfId="0" applyNumberFormat="1"/>
    <xf numFmtId="165" fontId="0" fillId="0" borderId="1" xfId="0" applyNumberFormat="1" applyBorder="1"/>
    <xf numFmtId="165" fontId="0" fillId="0" borderId="5" xfId="0" applyNumberFormat="1" applyBorder="1"/>
    <xf numFmtId="165" fontId="4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4" fillId="0" borderId="4" xfId="0" applyFont="1" applyBorder="1"/>
    <xf numFmtId="0" fontId="5" fillId="0" borderId="3" xfId="0" applyFont="1" applyFill="1" applyBorder="1" applyAlignment="1">
      <alignment horizontal="center"/>
    </xf>
    <xf numFmtId="0" fontId="0" fillId="0" borderId="1" xfId="0" applyFill="1" applyBorder="1"/>
    <xf numFmtId="0" fontId="2" fillId="0" borderId="6" xfId="0" applyFont="1" applyFill="1" applyBorder="1"/>
    <xf numFmtId="0" fontId="0" fillId="0" borderId="5" xfId="0" applyFill="1" applyBorder="1"/>
    <xf numFmtId="165" fontId="0" fillId="0" borderId="1" xfId="0" applyNumberFormat="1" applyFill="1" applyBorder="1"/>
    <xf numFmtId="165" fontId="2" fillId="0" borderId="7" xfId="0" applyNumberFormat="1" applyFont="1" applyFill="1" applyBorder="1"/>
    <xf numFmtId="165" fontId="0" fillId="0" borderId="5" xfId="0" applyNumberFormat="1" applyFill="1" applyBorder="1"/>
    <xf numFmtId="165" fontId="3" fillId="0" borderId="1" xfId="0" applyNumberFormat="1" applyFont="1" applyFill="1" applyBorder="1"/>
    <xf numFmtId="165" fontId="0" fillId="0" borderId="7" xfId="0" applyNumberFormat="1" applyFill="1" applyBorder="1"/>
    <xf numFmtId="165" fontId="0" fillId="0" borderId="1" xfId="0" quotePrefix="1" applyNumberFormat="1" applyFill="1" applyBorder="1"/>
    <xf numFmtId="165" fontId="2" fillId="0" borderId="1" xfId="0" applyNumberFormat="1" applyFont="1" applyFill="1" applyBorder="1"/>
    <xf numFmtId="0" fontId="4" fillId="0" borderId="1" xfId="0" applyFont="1" applyBorder="1"/>
    <xf numFmtId="164" fontId="0" fillId="0" borderId="0" xfId="1" applyFont="1" applyFill="1"/>
    <xf numFmtId="0" fontId="0" fillId="0" borderId="0" xfId="0" applyNumberFormat="1" applyFill="1"/>
    <xf numFmtId="165" fontId="1" fillId="0" borderId="1" xfId="0" applyNumberFormat="1" applyFont="1" applyFill="1" applyBorder="1"/>
    <xf numFmtId="165" fontId="4" fillId="0" borderId="1" xfId="0" applyNumberFormat="1" applyFont="1" applyFill="1" applyBorder="1"/>
    <xf numFmtId="165" fontId="4" fillId="0" borderId="1" xfId="1" applyNumberFormat="1" applyFont="1" applyFill="1" applyBorder="1"/>
    <xf numFmtId="165" fontId="4" fillId="0" borderId="5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165" fontId="1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C8" sqref="C8"/>
    </sheetView>
  </sheetViews>
  <sheetFormatPr defaultRowHeight="13.2" x14ac:dyDescent="0.25"/>
  <cols>
    <col min="1" max="1" width="15.6640625" bestFit="1" customWidth="1"/>
    <col min="2" max="2" width="17.44140625" bestFit="1" customWidth="1"/>
    <col min="3" max="3" width="10.88671875" bestFit="1" customWidth="1"/>
    <col min="4" max="4" width="12.44140625" bestFit="1" customWidth="1"/>
    <col min="5" max="5" width="9.33203125" bestFit="1" customWidth="1"/>
  </cols>
  <sheetData>
    <row r="1" spans="1:6" x14ac:dyDescent="0.25">
      <c r="A1" s="1" t="s">
        <v>51</v>
      </c>
    </row>
    <row r="2" spans="1:6" x14ac:dyDescent="0.25">
      <c r="A2" t="s">
        <v>52</v>
      </c>
      <c r="B2" t="s">
        <v>53</v>
      </c>
      <c r="C2" t="s">
        <v>54</v>
      </c>
      <c r="D2" t="s">
        <v>55</v>
      </c>
      <c r="E2" t="s">
        <v>56</v>
      </c>
    </row>
    <row r="3" spans="1:6" x14ac:dyDescent="0.25">
      <c r="A3" s="14">
        <f>-59040*125%</f>
        <v>-73800</v>
      </c>
      <c r="B3" s="14">
        <f>SUM(A3)/100*80</f>
        <v>-59040</v>
      </c>
      <c r="C3" s="14">
        <f>SUM(A3-B3)</f>
        <v>-14760</v>
      </c>
      <c r="D3" s="14">
        <f>SUM(C3)</f>
        <v>-14760</v>
      </c>
      <c r="F3">
        <v>0</v>
      </c>
    </row>
    <row r="4" spans="1:6" x14ac:dyDescent="0.25">
      <c r="A4" s="14">
        <f>29000*125%</f>
        <v>36250</v>
      </c>
      <c r="B4" s="14">
        <f>SUM(A4)/100*80</f>
        <v>29000</v>
      </c>
      <c r="C4" s="14">
        <f>SUM(A4-B4)</f>
        <v>7250</v>
      </c>
      <c r="D4" s="14">
        <f>SUM(C4)/2</f>
        <v>3625</v>
      </c>
      <c r="E4" s="14">
        <f>SUM(C4)/2</f>
        <v>3625</v>
      </c>
    </row>
    <row r="5" spans="1:6" x14ac:dyDescent="0.25">
      <c r="A5" s="14">
        <f>4000*125%</f>
        <v>5000</v>
      </c>
      <c r="B5" s="14">
        <f>SUM(A5)/100*80</f>
        <v>4000</v>
      </c>
      <c r="C5" s="14">
        <f>SUM(A5-B5)</f>
        <v>1000</v>
      </c>
      <c r="D5" s="14">
        <f>SUM(C5)</f>
        <v>1000</v>
      </c>
    </row>
    <row r="6" spans="1:6" x14ac:dyDescent="0.25">
      <c r="A6" s="14">
        <f>(400+200+300+400)*125%</f>
        <v>1625</v>
      </c>
      <c r="B6" s="14">
        <f>SUM(A6)/100*80</f>
        <v>1300</v>
      </c>
      <c r="C6" s="14">
        <f>SUM(A6-B6)</f>
        <v>325</v>
      </c>
      <c r="D6" s="14">
        <f>SUM(C6)</f>
        <v>325</v>
      </c>
    </row>
    <row r="7" spans="1:6" x14ac:dyDescent="0.25">
      <c r="A7" s="14">
        <f>1400*125%</f>
        <v>1750</v>
      </c>
      <c r="B7" s="14">
        <f>SUM(A7)/100*80</f>
        <v>1400</v>
      </c>
      <c r="C7" s="14">
        <f>SUM(A7-B7)</f>
        <v>350</v>
      </c>
      <c r="D7" s="14">
        <f>SUM(C7)</f>
        <v>350</v>
      </c>
    </row>
    <row r="8" spans="1:6" x14ac:dyDescent="0.25">
      <c r="A8" s="14"/>
      <c r="B8" s="14"/>
      <c r="C8" s="14">
        <f>SUM(C3:C7)</f>
        <v>-5835</v>
      </c>
      <c r="D8" s="14">
        <f>SUM(D3:D7)</f>
        <v>-9460</v>
      </c>
      <c r="E8" s="14">
        <f>SUM(E3:E7)</f>
        <v>3625</v>
      </c>
    </row>
  </sheetData>
  <phoneticPr fontId="8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workbookViewId="0">
      <selection activeCell="J3" sqref="J3"/>
    </sheetView>
  </sheetViews>
  <sheetFormatPr defaultRowHeight="13.2" x14ac:dyDescent="0.25"/>
  <cols>
    <col min="1" max="1" width="14.5546875" bestFit="1" customWidth="1"/>
    <col min="2" max="2" width="17" bestFit="1" customWidth="1"/>
    <col min="3" max="3" width="13.88671875" style="27" bestFit="1" customWidth="1"/>
    <col min="8" max="8" width="11.6640625" bestFit="1" customWidth="1"/>
    <col min="9" max="9" width="11.33203125" style="27" bestFit="1" customWidth="1"/>
    <col min="10" max="10" width="15.5546875" bestFit="1" customWidth="1"/>
    <col min="11" max="11" width="9.33203125" style="31" bestFit="1" customWidth="1"/>
    <col min="12" max="12" width="10.88671875" bestFit="1" customWidth="1"/>
  </cols>
  <sheetData>
    <row r="1" spans="1:13" x14ac:dyDescent="0.25">
      <c r="A1" s="17" t="s">
        <v>14</v>
      </c>
      <c r="B1" s="56" t="s">
        <v>67</v>
      </c>
    </row>
    <row r="3" spans="1:13" x14ac:dyDescent="0.25">
      <c r="A3" s="1" t="s">
        <v>26</v>
      </c>
      <c r="C3" s="59">
        <v>54261.77</v>
      </c>
      <c r="D3" s="1"/>
      <c r="E3" s="1"/>
      <c r="F3" s="1" t="s">
        <v>27</v>
      </c>
      <c r="G3" s="1"/>
      <c r="I3" s="60">
        <v>54261.77</v>
      </c>
    </row>
    <row r="4" spans="1:13" x14ac:dyDescent="0.25">
      <c r="A4" s="17" t="s">
        <v>30</v>
      </c>
      <c r="D4" s="17"/>
      <c r="E4" s="16"/>
      <c r="F4" s="17" t="s">
        <v>32</v>
      </c>
      <c r="G4" s="1"/>
      <c r="H4" s="1"/>
      <c r="J4" s="17"/>
      <c r="K4" s="16"/>
      <c r="L4" s="27"/>
      <c r="M4" s="17"/>
    </row>
    <row r="5" spans="1:13" x14ac:dyDescent="0.25">
      <c r="A5" s="17" t="s">
        <v>31</v>
      </c>
      <c r="C5" s="15"/>
      <c r="D5" s="17"/>
      <c r="E5" s="16"/>
      <c r="F5" s="17"/>
      <c r="H5" s="16"/>
      <c r="I5" s="50"/>
      <c r="J5" s="17"/>
      <c r="K5" s="16"/>
      <c r="L5" s="27"/>
      <c r="M5" s="17"/>
    </row>
    <row r="6" spans="1:13" x14ac:dyDescent="0.25">
      <c r="A6" s="17"/>
      <c r="D6" s="17"/>
      <c r="E6" s="16"/>
      <c r="F6" s="17"/>
      <c r="H6" s="16"/>
      <c r="I6" s="50"/>
      <c r="J6" s="17"/>
      <c r="K6" s="16"/>
      <c r="L6" s="27"/>
      <c r="M6" s="17"/>
    </row>
    <row r="7" spans="1:13" x14ac:dyDescent="0.25">
      <c r="A7" s="17"/>
      <c r="I7" s="50"/>
      <c r="J7" s="17"/>
      <c r="K7" s="16"/>
      <c r="L7" s="27"/>
      <c r="M7" s="17"/>
    </row>
    <row r="8" spans="1:13" x14ac:dyDescent="0.25">
      <c r="I8" s="50"/>
      <c r="J8" s="17"/>
      <c r="K8" s="16"/>
      <c r="L8" s="27"/>
      <c r="M8" s="17"/>
    </row>
    <row r="9" spans="1:13" x14ac:dyDescent="0.25">
      <c r="I9" s="50"/>
      <c r="J9" s="17"/>
      <c r="K9" s="16"/>
      <c r="L9" s="27"/>
      <c r="M9" s="17"/>
    </row>
    <row r="10" spans="1:13" x14ac:dyDescent="0.25">
      <c r="I10" s="50"/>
      <c r="J10" s="17"/>
      <c r="K10" s="16"/>
      <c r="L10" s="27"/>
      <c r="M10" s="17"/>
    </row>
    <row r="11" spans="1:13" x14ac:dyDescent="0.25">
      <c r="I11" s="50"/>
      <c r="J11" s="17"/>
      <c r="K11" s="16"/>
      <c r="L11" s="27"/>
      <c r="M11" s="17"/>
    </row>
    <row r="12" spans="1:13" x14ac:dyDescent="0.25">
      <c r="I12" s="50"/>
      <c r="J12" s="17"/>
      <c r="K12" s="16"/>
      <c r="L12" s="27"/>
      <c r="M12" s="17"/>
    </row>
    <row r="13" spans="1:13" x14ac:dyDescent="0.25">
      <c r="I13" s="50"/>
      <c r="J13" s="17"/>
      <c r="K13" s="16"/>
      <c r="L13" s="27"/>
      <c r="M13" s="17"/>
    </row>
    <row r="14" spans="1:13" x14ac:dyDescent="0.25">
      <c r="I14" s="50"/>
      <c r="J14" s="17"/>
      <c r="K14" s="16"/>
      <c r="L14" s="27"/>
      <c r="M14" s="17"/>
    </row>
    <row r="15" spans="1:13" x14ac:dyDescent="0.25">
      <c r="I15" s="50"/>
      <c r="J15" s="17"/>
      <c r="K15" s="16"/>
      <c r="L15" s="27"/>
      <c r="M15" s="17"/>
    </row>
    <row r="16" spans="1:13" x14ac:dyDescent="0.25">
      <c r="I16" s="50"/>
      <c r="J16" s="17"/>
      <c r="K16" s="16"/>
      <c r="L16" s="27"/>
      <c r="M16" s="17"/>
    </row>
    <row r="17" spans="1:13" x14ac:dyDescent="0.25">
      <c r="I17" s="50"/>
      <c r="J17" s="17"/>
      <c r="K17" s="16"/>
      <c r="L17" s="27"/>
      <c r="M17" s="17"/>
    </row>
    <row r="18" spans="1:13" x14ac:dyDescent="0.25">
      <c r="I18" s="50"/>
      <c r="J18" s="17"/>
      <c r="K18" s="16"/>
      <c r="L18" s="27"/>
      <c r="M18" s="17"/>
    </row>
    <row r="19" spans="1:13" x14ac:dyDescent="0.25">
      <c r="J19" s="17"/>
      <c r="K19" s="16"/>
      <c r="L19" s="27"/>
      <c r="M19" s="17"/>
    </row>
    <row r="20" spans="1:13" x14ac:dyDescent="0.25">
      <c r="J20" s="17"/>
      <c r="K20" s="16"/>
      <c r="L20" s="27"/>
      <c r="M20" s="17"/>
    </row>
    <row r="21" spans="1:13" x14ac:dyDescent="0.25">
      <c r="J21" s="17"/>
      <c r="K21" s="16"/>
    </row>
    <row r="22" spans="1:13" x14ac:dyDescent="0.25">
      <c r="C22" s="27">
        <f>SUM(C3:C21)</f>
        <v>54261.77</v>
      </c>
      <c r="I22" s="27">
        <f>SUM(I3:I21)</f>
        <v>54261.77</v>
      </c>
      <c r="J22" s="24">
        <f>SUM(C22)-I22</f>
        <v>0</v>
      </c>
    </row>
    <row r="25" spans="1:13" x14ac:dyDescent="0.25">
      <c r="A25" s="17"/>
    </row>
    <row r="27" spans="1:13" x14ac:dyDescent="0.25">
      <c r="K27" s="51"/>
    </row>
    <row r="28" spans="1:13" x14ac:dyDescent="0.25">
      <c r="A28" t="s">
        <v>28</v>
      </c>
    </row>
    <row r="30" spans="1:13" x14ac:dyDescent="0.25">
      <c r="A30" t="s">
        <v>29</v>
      </c>
      <c r="C30" s="27">
        <v>0</v>
      </c>
      <c r="F30" t="s">
        <v>27</v>
      </c>
      <c r="I30" s="27" t="e">
        <f>SUM(#REF!)</f>
        <v>#REF!</v>
      </c>
    </row>
    <row r="31" spans="1:13" x14ac:dyDescent="0.25">
      <c r="A31" s="17" t="s">
        <v>30</v>
      </c>
      <c r="F31" s="17" t="s">
        <v>32</v>
      </c>
    </row>
    <row r="32" spans="1:13" x14ac:dyDescent="0.25">
      <c r="A32" s="17" t="s">
        <v>39</v>
      </c>
    </row>
    <row r="41" spans="3:10" x14ac:dyDescent="0.25">
      <c r="C41" s="27">
        <f>SUM(C30:C38)</f>
        <v>0</v>
      </c>
      <c r="I41" s="27" t="e">
        <f>SUM(I30:I40)</f>
        <v>#REF!</v>
      </c>
      <c r="J41" s="2" t="e">
        <f>SUM(C41)-I41</f>
        <v>#REF!</v>
      </c>
    </row>
    <row r="43" spans="3:10" x14ac:dyDescent="0.25">
      <c r="J43">
        <v>0</v>
      </c>
    </row>
  </sheetData>
  <phoneticPr fontId="0" type="noConversion"/>
  <pageMargins left="0.75" right="0.75" top="1" bottom="1" header="0" footer="0"/>
  <pageSetup paperSize="9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86"/>
  <sheetViews>
    <sheetView tabSelected="1" workbookViewId="0">
      <pane xSplit="1" ySplit="4" topLeftCell="B48" activePane="bottomRight" state="frozen"/>
      <selection pane="topRight" activeCell="B1" sqref="B1"/>
      <selection pane="bottomLeft" activeCell="A5" sqref="A5"/>
      <selection pane="bottomRight" activeCell="E51" sqref="E51"/>
    </sheetView>
  </sheetViews>
  <sheetFormatPr defaultColWidth="9.109375" defaultRowHeight="13.2" x14ac:dyDescent="0.25"/>
  <cols>
    <col min="1" max="1" width="48" style="4" customWidth="1"/>
    <col min="2" max="6" width="16.6640625" style="39" customWidth="1"/>
    <col min="7" max="7" width="17" style="4" hidden="1" customWidth="1"/>
    <col min="8" max="8" width="15.88671875" style="4" hidden="1" customWidth="1"/>
    <col min="9" max="9" width="14.33203125" style="4" customWidth="1"/>
    <col min="10" max="10" width="10.88671875" style="4" customWidth="1"/>
    <col min="11" max="11" width="9.109375" style="4"/>
    <col min="12" max="12" width="10.44140625" style="4" bestFit="1" customWidth="1"/>
    <col min="13" max="16384" width="9.109375" style="4"/>
  </cols>
  <sheetData>
    <row r="1" spans="1:12" s="13" customFormat="1" ht="17.399999999999999" x14ac:dyDescent="0.3">
      <c r="A1" s="12" t="s">
        <v>44</v>
      </c>
      <c r="B1" s="38"/>
      <c r="C1" s="38"/>
      <c r="D1" s="38"/>
      <c r="E1" s="38"/>
      <c r="F1" s="38"/>
      <c r="G1" s="12"/>
    </row>
    <row r="2" spans="1:12" x14ac:dyDescent="0.25">
      <c r="A2" s="3" t="s">
        <v>48</v>
      </c>
    </row>
    <row r="3" spans="1:12" ht="13.8" thickBot="1" x14ac:dyDescent="0.3">
      <c r="A3" s="26" t="s">
        <v>5</v>
      </c>
      <c r="B3" s="40" t="s">
        <v>65</v>
      </c>
      <c r="C3" s="26" t="s">
        <v>68</v>
      </c>
      <c r="D3" s="40" t="s">
        <v>66</v>
      </c>
      <c r="E3" s="26" t="s">
        <v>71</v>
      </c>
      <c r="F3" s="40" t="s">
        <v>74</v>
      </c>
      <c r="G3" s="6"/>
      <c r="H3" s="6"/>
    </row>
    <row r="4" spans="1:12" ht="13.8" thickTop="1" x14ac:dyDescent="0.25">
      <c r="A4" s="25"/>
      <c r="B4" s="41"/>
      <c r="C4" s="25"/>
      <c r="D4" s="41"/>
      <c r="E4" s="25"/>
      <c r="F4" s="41"/>
      <c r="L4" s="57"/>
    </row>
    <row r="5" spans="1:12" ht="24.75" customHeight="1" x14ac:dyDescent="0.25">
      <c r="A5" s="58" t="s">
        <v>79</v>
      </c>
      <c r="B5" s="54">
        <f>1740*71</f>
        <v>123540</v>
      </c>
      <c r="C5" s="32">
        <v>124398.31</v>
      </c>
      <c r="D5" s="54">
        <f>1892*70</f>
        <v>132440</v>
      </c>
      <c r="E5" s="32">
        <v>132440</v>
      </c>
      <c r="F5" s="54">
        <f>2108*69</f>
        <v>145452</v>
      </c>
      <c r="I5" s="57" t="s">
        <v>72</v>
      </c>
    </row>
    <row r="6" spans="1:12" x14ac:dyDescent="0.25">
      <c r="B6" s="53"/>
      <c r="C6" s="32"/>
      <c r="D6" s="53"/>
      <c r="E6" s="32"/>
      <c r="F6" s="53"/>
      <c r="I6" s="57"/>
      <c r="K6" s="4" t="s">
        <v>73</v>
      </c>
    </row>
    <row r="7" spans="1:12" x14ac:dyDescent="0.25">
      <c r="A7" s="4" t="s">
        <v>49</v>
      </c>
      <c r="B7" s="53"/>
      <c r="C7" s="32">
        <v>800</v>
      </c>
      <c r="D7" s="53"/>
      <c r="E7" s="32">
        <v>200</v>
      </c>
      <c r="F7" s="53"/>
    </row>
    <row r="8" spans="1:12" x14ac:dyDescent="0.25">
      <c r="A8" s="4" t="s">
        <v>19</v>
      </c>
      <c r="B8" s="53"/>
      <c r="C8" s="32"/>
      <c r="D8" s="53"/>
      <c r="E8" s="32"/>
      <c r="F8" s="53"/>
    </row>
    <row r="9" spans="1:12" x14ac:dyDescent="0.25">
      <c r="A9" s="4" t="s">
        <v>47</v>
      </c>
      <c r="B9" s="53">
        <v>700</v>
      </c>
      <c r="C9" s="32">
        <v>728.91</v>
      </c>
      <c r="D9" s="53">
        <v>700</v>
      </c>
      <c r="E9" s="32">
        <v>704.88</v>
      </c>
      <c r="F9" s="53">
        <v>700</v>
      </c>
      <c r="J9" s="20"/>
    </row>
    <row r="10" spans="1:12" ht="13.8" thickBot="1" x14ac:dyDescent="0.3">
      <c r="A10" s="3" t="s">
        <v>0</v>
      </c>
      <c r="B10" s="43">
        <f>SUM(B5:B9)</f>
        <v>124240</v>
      </c>
      <c r="C10" s="43">
        <f>SUM(C5:C9)</f>
        <v>125927.22</v>
      </c>
      <c r="D10" s="43">
        <f>SUM(D5:D9)</f>
        <v>133140</v>
      </c>
      <c r="E10" s="43">
        <f>SUM(E5:E9)</f>
        <v>133344.88</v>
      </c>
      <c r="F10" s="43">
        <f>SUM(F5:F9)</f>
        <v>146152</v>
      </c>
      <c r="J10" s="20" t="s">
        <v>75</v>
      </c>
      <c r="L10" s="7"/>
    </row>
    <row r="11" spans="1:12" x14ac:dyDescent="0.25">
      <c r="B11" s="55"/>
      <c r="C11" s="33"/>
      <c r="D11" s="55"/>
      <c r="E11" s="33"/>
      <c r="F11" s="55"/>
      <c r="H11" s="8"/>
    </row>
    <row r="12" spans="1:12" x14ac:dyDescent="0.25">
      <c r="A12" s="5" t="s">
        <v>6</v>
      </c>
      <c r="B12" s="45"/>
      <c r="C12" s="45"/>
      <c r="D12" s="45"/>
      <c r="E12" s="45"/>
      <c r="F12" s="45"/>
      <c r="G12" s="6"/>
      <c r="H12" s="8"/>
    </row>
    <row r="13" spans="1:12" x14ac:dyDescent="0.25">
      <c r="A13" s="23" t="s">
        <v>58</v>
      </c>
      <c r="B13" s="53">
        <f>(105.62*71*12)/100*80</f>
        <v>71990.592000000004</v>
      </c>
      <c r="C13" s="53">
        <v>71235.19</v>
      </c>
      <c r="D13" s="53">
        <f>(110.7*70*12)/100*80</f>
        <v>74390.399999999994</v>
      </c>
      <c r="E13" s="53">
        <v>74390.399999999994</v>
      </c>
      <c r="F13" s="53">
        <f>(110.7*69*12)/100*80+2000</f>
        <v>75327.679999999993</v>
      </c>
      <c r="H13" s="8"/>
      <c r="I13" s="4" t="s">
        <v>77</v>
      </c>
      <c r="J13" s="7"/>
      <c r="L13" s="7"/>
    </row>
    <row r="14" spans="1:12" x14ac:dyDescent="0.25">
      <c r="A14" s="37" t="s">
        <v>59</v>
      </c>
      <c r="B14" s="54">
        <f>(44.09*70)*12</f>
        <v>37035.600000000006</v>
      </c>
      <c r="C14" s="53">
        <v>37568.839999999997</v>
      </c>
      <c r="D14" s="54">
        <f>(47.85*70)*12</f>
        <v>40194</v>
      </c>
      <c r="E14" s="53">
        <v>40193.919999999998</v>
      </c>
      <c r="F14" s="54">
        <f>(49.98*69)*12</f>
        <v>41383.440000000002</v>
      </c>
      <c r="G14" s="8"/>
      <c r="H14" s="8"/>
      <c r="I14" s="57"/>
      <c r="J14" s="7"/>
      <c r="L14" s="30"/>
    </row>
    <row r="15" spans="1:12" x14ac:dyDescent="0.25">
      <c r="A15" s="37" t="s">
        <v>62</v>
      </c>
      <c r="B15" s="53">
        <v>1500</v>
      </c>
      <c r="C15" s="53">
        <v>1299.2</v>
      </c>
      <c r="D15" s="53">
        <v>1300</v>
      </c>
      <c r="E15" s="53">
        <v>1233</v>
      </c>
      <c r="F15" s="53">
        <v>1300</v>
      </c>
      <c r="G15" s="8"/>
      <c r="H15" s="8"/>
      <c r="I15" s="49"/>
      <c r="J15" s="7"/>
      <c r="L15" s="30"/>
    </row>
    <row r="16" spans="1:12" x14ac:dyDescent="0.25">
      <c r="A16" s="37" t="s">
        <v>63</v>
      </c>
      <c r="B16" s="53">
        <v>700</v>
      </c>
      <c r="C16" s="53">
        <v>1004.41</v>
      </c>
      <c r="D16" s="53">
        <v>1000</v>
      </c>
      <c r="E16" s="53">
        <v>463.1</v>
      </c>
      <c r="F16" s="53">
        <v>1000</v>
      </c>
      <c r="G16" s="8"/>
      <c r="H16" s="8"/>
      <c r="I16" s="49"/>
      <c r="J16" s="7"/>
      <c r="L16" s="30"/>
    </row>
    <row r="17" spans="1:14" x14ac:dyDescent="0.25">
      <c r="A17" s="23" t="s">
        <v>45</v>
      </c>
      <c r="B17" s="53"/>
      <c r="C17" s="53"/>
      <c r="D17" s="53"/>
      <c r="E17" s="53"/>
      <c r="F17" s="53"/>
      <c r="G17" s="8"/>
      <c r="H17" s="8"/>
      <c r="J17" s="7"/>
      <c r="L17" s="7"/>
    </row>
    <row r="18" spans="1:14" x14ac:dyDescent="0.25">
      <c r="A18" t="s">
        <v>40</v>
      </c>
      <c r="B18" s="53"/>
      <c r="C18" s="53"/>
      <c r="D18" s="53"/>
      <c r="E18" s="53"/>
      <c r="F18" s="53"/>
      <c r="G18" s="8"/>
      <c r="H18" s="8"/>
    </row>
    <row r="19" spans="1:14" x14ac:dyDescent="0.25">
      <c r="A19" s="23" t="s">
        <v>17</v>
      </c>
      <c r="B19" s="53">
        <v>600</v>
      </c>
      <c r="C19" s="53">
        <v>0</v>
      </c>
      <c r="D19" s="53">
        <v>600</v>
      </c>
      <c r="E19" s="53">
        <v>663</v>
      </c>
      <c r="F19" s="53">
        <v>700</v>
      </c>
      <c r="G19" s="8"/>
      <c r="H19" s="8"/>
      <c r="J19" s="32"/>
    </row>
    <row r="20" spans="1:14" x14ac:dyDescent="0.25">
      <c r="A20" s="23" t="s">
        <v>16</v>
      </c>
      <c r="B20" s="53">
        <v>0</v>
      </c>
      <c r="C20" s="53"/>
      <c r="D20" s="53">
        <v>0</v>
      </c>
      <c r="E20" s="53"/>
      <c r="F20" s="53">
        <v>0</v>
      </c>
      <c r="G20" s="8"/>
      <c r="H20" s="8"/>
      <c r="J20" s="35"/>
    </row>
    <row r="21" spans="1:14" x14ac:dyDescent="0.25">
      <c r="A21" s="23" t="s">
        <v>46</v>
      </c>
      <c r="B21" s="53">
        <v>300</v>
      </c>
      <c r="C21" s="53">
        <v>300</v>
      </c>
      <c r="D21" s="53">
        <v>300</v>
      </c>
      <c r="E21" s="52">
        <f>224.83+75</f>
        <v>299.83000000000004</v>
      </c>
      <c r="F21" s="53">
        <v>300</v>
      </c>
      <c r="G21" s="8"/>
      <c r="H21" s="8"/>
      <c r="N21" s="20" t="s">
        <v>75</v>
      </c>
    </row>
    <row r="22" spans="1:14" x14ac:dyDescent="0.25">
      <c r="A22" s="37" t="s">
        <v>64</v>
      </c>
      <c r="B22" s="53">
        <v>0</v>
      </c>
      <c r="C22" s="53"/>
      <c r="D22" s="53">
        <v>0</v>
      </c>
      <c r="E22" s="53"/>
      <c r="F22" s="53">
        <v>0</v>
      </c>
      <c r="G22" s="8"/>
      <c r="H22" s="8"/>
    </row>
    <row r="23" spans="1:14" x14ac:dyDescent="0.25">
      <c r="A23" s="23" t="s">
        <v>1</v>
      </c>
      <c r="B23" s="53">
        <v>8000</v>
      </c>
      <c r="C23" s="52">
        <v>7337.42</v>
      </c>
      <c r="D23" s="53">
        <v>8000</v>
      </c>
      <c r="E23" s="52">
        <v>9417.3700000000008</v>
      </c>
      <c r="F23" s="53">
        <v>10000</v>
      </c>
      <c r="G23" s="8"/>
      <c r="H23" s="8"/>
      <c r="L23" s="20" t="s">
        <v>75</v>
      </c>
    </row>
    <row r="24" spans="1:14" x14ac:dyDescent="0.25">
      <c r="A24" s="23" t="s">
        <v>18</v>
      </c>
      <c r="B24" s="53">
        <v>500</v>
      </c>
      <c r="C24" s="53"/>
      <c r="D24" s="53">
        <v>500</v>
      </c>
      <c r="E24" s="53">
        <v>0</v>
      </c>
      <c r="F24" s="53">
        <v>500</v>
      </c>
      <c r="G24" s="8"/>
      <c r="H24" s="8"/>
    </row>
    <row r="25" spans="1:14" x14ac:dyDescent="0.25">
      <c r="A25" s="23" t="s">
        <v>41</v>
      </c>
      <c r="B25" s="53">
        <v>2250</v>
      </c>
      <c r="C25" s="53">
        <v>2014.59</v>
      </c>
      <c r="D25" s="53">
        <v>2000</v>
      </c>
      <c r="E25" s="53">
        <v>2025.56</v>
      </c>
      <c r="F25" s="53">
        <v>2000</v>
      </c>
      <c r="G25" s="8"/>
      <c r="H25" s="8"/>
    </row>
    <row r="26" spans="1:14" x14ac:dyDescent="0.25">
      <c r="A26" s="23" t="s">
        <v>2</v>
      </c>
      <c r="B26" s="53">
        <v>0</v>
      </c>
      <c r="C26" s="53"/>
      <c r="D26" s="53">
        <v>0</v>
      </c>
      <c r="E26" s="53"/>
      <c r="F26" s="53">
        <v>14000</v>
      </c>
      <c r="G26" s="8"/>
      <c r="H26" s="8"/>
    </row>
    <row r="27" spans="1:14" x14ac:dyDescent="0.25">
      <c r="A27" s="23" t="s">
        <v>15</v>
      </c>
      <c r="B27" s="53">
        <v>1000</v>
      </c>
      <c r="C27" s="53">
        <v>0</v>
      </c>
      <c r="D27" s="52" t="s">
        <v>70</v>
      </c>
      <c r="E27" s="53"/>
      <c r="F27" s="52" t="s">
        <v>70</v>
      </c>
      <c r="G27" s="8"/>
      <c r="H27" s="8"/>
    </row>
    <row r="28" spans="1:14" x14ac:dyDescent="0.25">
      <c r="A28" s="23" t="s">
        <v>50</v>
      </c>
      <c r="B28" s="53">
        <v>0</v>
      </c>
      <c r="C28" s="53"/>
      <c r="D28" s="53">
        <v>0</v>
      </c>
      <c r="E28" s="53">
        <v>0</v>
      </c>
      <c r="F28" s="53">
        <v>0</v>
      </c>
      <c r="G28" s="8"/>
      <c r="H28" s="8"/>
    </row>
    <row r="29" spans="1:14" x14ac:dyDescent="0.25">
      <c r="A29" s="37" t="s">
        <v>61</v>
      </c>
      <c r="B29" s="53">
        <v>0</v>
      </c>
      <c r="C29" s="53"/>
      <c r="D29" s="53">
        <v>0</v>
      </c>
      <c r="E29" s="53"/>
      <c r="F29" s="53">
        <v>0</v>
      </c>
      <c r="G29" s="8"/>
      <c r="H29" s="8"/>
    </row>
    <row r="30" spans="1:14" x14ac:dyDescent="0.25">
      <c r="A30" s="37" t="s">
        <v>20</v>
      </c>
      <c r="B30" s="53">
        <v>0</v>
      </c>
      <c r="C30" s="53"/>
      <c r="D30" s="53">
        <v>0</v>
      </c>
      <c r="E30" s="53"/>
      <c r="F30" s="53">
        <v>0</v>
      </c>
      <c r="G30" s="8"/>
      <c r="H30" s="8"/>
    </row>
    <row r="31" spans="1:14" x14ac:dyDescent="0.25">
      <c r="A31" s="23" t="s">
        <v>42</v>
      </c>
      <c r="B31" s="53"/>
      <c r="C31" s="53">
        <v>0.82</v>
      </c>
      <c r="D31" s="53"/>
      <c r="E31" s="53">
        <v>1</v>
      </c>
      <c r="F31" s="53"/>
      <c r="H31" s="8"/>
    </row>
    <row r="32" spans="1:14" ht="13.8" thickBot="1" x14ac:dyDescent="0.3">
      <c r="A32" s="3" t="s">
        <v>3</v>
      </c>
      <c r="B32" s="43">
        <f>SUM(B13:B31)</f>
        <v>123876.19200000001</v>
      </c>
      <c r="C32" s="43">
        <f>SUM(C13:C31)</f>
        <v>120760.47</v>
      </c>
      <c r="D32" s="43">
        <f>SUM(D13:D31)</f>
        <v>128284.4</v>
      </c>
      <c r="E32" s="43">
        <f>SUM(E13:E31)</f>
        <v>128687.18</v>
      </c>
      <c r="F32" s="43">
        <f>SUM(F13:F31)</f>
        <v>146511.12</v>
      </c>
      <c r="G32" s="8"/>
      <c r="H32" s="8"/>
      <c r="I32" s="8"/>
    </row>
    <row r="33" spans="1:9" x14ac:dyDescent="0.25">
      <c r="B33" s="44"/>
      <c r="C33" s="44"/>
      <c r="D33" s="44"/>
      <c r="E33" s="44"/>
      <c r="F33" s="44"/>
    </row>
    <row r="34" spans="1:9" s="11" customFormat="1" ht="13.8" thickBot="1" x14ac:dyDescent="0.3">
      <c r="A34" s="9" t="s">
        <v>4</v>
      </c>
      <c r="B34" s="46">
        <f>SUM(B10)-B32</f>
        <v>363.80799999998999</v>
      </c>
      <c r="C34" s="46">
        <f>SUM(C10)-C32</f>
        <v>5166.75</v>
      </c>
      <c r="D34" s="46">
        <f>SUM(D10)-D32</f>
        <v>4855.6000000000058</v>
      </c>
      <c r="E34" s="46">
        <f>SUM(E10)-E32</f>
        <v>4657.7000000000116</v>
      </c>
      <c r="F34" s="46">
        <f>SUM(F10)-F32</f>
        <v>-359.11999999999534</v>
      </c>
      <c r="G34" s="10"/>
      <c r="H34" s="10"/>
    </row>
    <row r="35" spans="1:9" x14ac:dyDescent="0.25">
      <c r="B35" s="44"/>
      <c r="C35" s="44"/>
      <c r="D35" s="44"/>
      <c r="E35" s="44"/>
      <c r="F35" s="44"/>
    </row>
    <row r="36" spans="1:9" x14ac:dyDescent="0.25">
      <c r="B36" s="42"/>
      <c r="C36" s="42"/>
      <c r="D36" s="42"/>
      <c r="E36" s="42"/>
      <c r="F36" s="42"/>
    </row>
    <row r="37" spans="1:9" ht="15.6" x14ac:dyDescent="0.3">
      <c r="A37" s="19" t="s">
        <v>21</v>
      </c>
      <c r="B37" s="42"/>
      <c r="C37" s="42"/>
      <c r="D37" s="42"/>
      <c r="E37" s="42"/>
      <c r="F37" s="42"/>
    </row>
    <row r="38" spans="1:9" x14ac:dyDescent="0.25">
      <c r="B38" s="42"/>
      <c r="C38" s="32"/>
      <c r="D38" s="42"/>
      <c r="E38" s="32"/>
      <c r="F38" s="42"/>
    </row>
    <row r="39" spans="1:9" x14ac:dyDescent="0.25">
      <c r="A39" s="3" t="s">
        <v>22</v>
      </c>
      <c r="B39" s="42"/>
      <c r="C39" s="32"/>
      <c r="D39" s="42"/>
      <c r="E39" s="32"/>
      <c r="F39" s="42"/>
    </row>
    <row r="40" spans="1:9" x14ac:dyDescent="0.25">
      <c r="B40" s="42"/>
      <c r="C40" s="32"/>
      <c r="D40" s="42"/>
      <c r="E40" s="32"/>
      <c r="F40" s="42"/>
    </row>
    <row r="41" spans="1:9" x14ac:dyDescent="0.25">
      <c r="A41" s="4" t="s">
        <v>33</v>
      </c>
      <c r="B41" s="42"/>
      <c r="C41" s="32"/>
      <c r="D41" s="42"/>
      <c r="E41" s="32"/>
      <c r="F41" s="42"/>
      <c r="G41" s="18"/>
      <c r="H41" s="18"/>
    </row>
    <row r="42" spans="1:9" x14ac:dyDescent="0.25">
      <c r="A42" s="29" t="s">
        <v>60</v>
      </c>
      <c r="B42" s="42"/>
      <c r="C42" s="34"/>
      <c r="D42" s="42"/>
      <c r="E42" s="34"/>
      <c r="F42" s="42"/>
      <c r="G42" s="18"/>
      <c r="H42" s="18">
        <f>-299.82+6034.96</f>
        <v>5735.14</v>
      </c>
      <c r="I42" s="49"/>
    </row>
    <row r="43" spans="1:9" x14ac:dyDescent="0.25">
      <c r="A43" s="29" t="s">
        <v>57</v>
      </c>
      <c r="B43" s="42"/>
      <c r="C43" s="35">
        <f>7552-0.4</f>
        <v>7551.6</v>
      </c>
      <c r="D43" s="42"/>
      <c r="E43" s="35">
        <v>5246</v>
      </c>
      <c r="F43" s="42"/>
      <c r="G43" s="18"/>
      <c r="H43" s="18"/>
    </row>
    <row r="44" spans="1:9" x14ac:dyDescent="0.25">
      <c r="A44" s="20" t="s">
        <v>34</v>
      </c>
      <c r="B44" s="42"/>
      <c r="C44" s="34"/>
      <c r="D44" s="42"/>
      <c r="E44" s="34"/>
      <c r="F44" s="42"/>
      <c r="G44" s="18"/>
      <c r="H44" s="18">
        <v>7800</v>
      </c>
    </row>
    <row r="45" spans="1:9" x14ac:dyDescent="0.25">
      <c r="B45" s="42"/>
      <c r="C45" s="34"/>
      <c r="D45" s="42"/>
      <c r="E45" s="34"/>
      <c r="F45" s="42"/>
      <c r="G45" s="18"/>
      <c r="H45" s="18"/>
    </row>
    <row r="46" spans="1:9" x14ac:dyDescent="0.25">
      <c r="A46" s="4" t="s">
        <v>7</v>
      </c>
      <c r="B46" s="42"/>
      <c r="C46" s="34"/>
      <c r="D46" s="42"/>
      <c r="E46" s="34"/>
      <c r="F46" s="42"/>
      <c r="G46" s="18"/>
      <c r="H46" s="18"/>
    </row>
    <row r="47" spans="1:9" x14ac:dyDescent="0.25">
      <c r="A47" s="20" t="s">
        <v>35</v>
      </c>
      <c r="B47" s="42"/>
      <c r="C47" s="34"/>
      <c r="D47" s="42"/>
      <c r="E47" s="34"/>
      <c r="F47" s="42"/>
      <c r="G47" s="18"/>
      <c r="H47" s="18">
        <v>249.25</v>
      </c>
    </row>
    <row r="48" spans="1:9" x14ac:dyDescent="0.25">
      <c r="A48" s="20" t="s">
        <v>36</v>
      </c>
      <c r="B48" s="42"/>
      <c r="C48" s="53">
        <v>54261.77</v>
      </c>
      <c r="D48" s="42"/>
      <c r="E48" s="53">
        <v>61224.76</v>
      </c>
      <c r="F48" s="42"/>
      <c r="G48" s="18"/>
      <c r="H48" s="18">
        <v>105877.83</v>
      </c>
    </row>
    <row r="49" spans="1:9" x14ac:dyDescent="0.25">
      <c r="B49" s="42"/>
      <c r="C49" s="34"/>
      <c r="D49" s="42"/>
      <c r="E49" s="34"/>
      <c r="F49" s="42"/>
      <c r="G49" s="18"/>
      <c r="H49" s="18"/>
    </row>
    <row r="50" spans="1:9" x14ac:dyDescent="0.25">
      <c r="A50" s="4" t="s">
        <v>23</v>
      </c>
      <c r="B50" s="42"/>
      <c r="C50" s="34">
        <v>23247</v>
      </c>
      <c r="D50" s="42"/>
      <c r="E50" s="34">
        <v>23247</v>
      </c>
      <c r="F50" s="42"/>
      <c r="G50" s="18"/>
      <c r="H50" s="18"/>
      <c r="I50" s="4" t="s">
        <v>76</v>
      </c>
    </row>
    <row r="51" spans="1:9" x14ac:dyDescent="0.25">
      <c r="B51" s="42"/>
      <c r="C51" s="34"/>
      <c r="D51" s="42"/>
      <c r="E51" s="34"/>
      <c r="F51" s="42"/>
      <c r="G51" s="18"/>
      <c r="H51" s="18"/>
    </row>
    <row r="52" spans="1:9" x14ac:dyDescent="0.25">
      <c r="A52" s="3" t="s">
        <v>8</v>
      </c>
      <c r="B52" s="42"/>
      <c r="C52" s="36">
        <f>SUM(C42:C50)</f>
        <v>85060.37</v>
      </c>
      <c r="D52" s="42"/>
      <c r="E52" s="36">
        <f>SUM(E42:E50)</f>
        <v>89717.760000000009</v>
      </c>
      <c r="F52" s="42"/>
      <c r="G52" s="21"/>
      <c r="H52" s="21">
        <f>SUM(H42:H48)</f>
        <v>119662.22</v>
      </c>
      <c r="I52" s="3"/>
    </row>
    <row r="53" spans="1:9" x14ac:dyDescent="0.25">
      <c r="B53" s="42"/>
      <c r="C53" s="34"/>
      <c r="D53" s="42"/>
      <c r="E53" s="34"/>
      <c r="F53" s="42"/>
      <c r="G53" s="18"/>
      <c r="H53" s="18"/>
    </row>
    <row r="54" spans="1:9" x14ac:dyDescent="0.25">
      <c r="A54" s="3" t="s">
        <v>9</v>
      </c>
      <c r="B54" s="42"/>
      <c r="C54" s="34"/>
      <c r="D54" s="42"/>
      <c r="E54" s="34"/>
      <c r="F54" s="42"/>
    </row>
    <row r="55" spans="1:9" x14ac:dyDescent="0.25">
      <c r="B55" s="42"/>
      <c r="C55" s="34"/>
      <c r="D55" s="42"/>
      <c r="E55" s="34"/>
      <c r="F55" s="42"/>
    </row>
    <row r="56" spans="1:9" x14ac:dyDescent="0.25">
      <c r="A56" s="4" t="s">
        <v>10</v>
      </c>
      <c r="B56" s="42"/>
      <c r="C56" s="34"/>
      <c r="D56" s="42"/>
      <c r="E56" s="34"/>
      <c r="F56" s="42"/>
      <c r="G56" s="18"/>
      <c r="H56" s="18">
        <v>0</v>
      </c>
    </row>
    <row r="57" spans="1:9" x14ac:dyDescent="0.25">
      <c r="A57" s="4" t="s">
        <v>43</v>
      </c>
      <c r="B57" s="42"/>
      <c r="C57" s="61">
        <v>0</v>
      </c>
      <c r="D57" s="42"/>
      <c r="E57" s="61"/>
      <c r="F57" s="42"/>
      <c r="G57" s="18"/>
      <c r="H57" s="18"/>
    </row>
    <row r="58" spans="1:9" x14ac:dyDescent="0.25">
      <c r="A58" s="4" t="s">
        <v>24</v>
      </c>
      <c r="B58" s="48"/>
      <c r="C58" s="34"/>
      <c r="D58" s="42"/>
      <c r="E58" s="34"/>
      <c r="F58" s="42"/>
      <c r="G58" s="18"/>
      <c r="H58" s="18"/>
    </row>
    <row r="59" spans="1:9" x14ac:dyDescent="0.25">
      <c r="A59" s="4" t="s">
        <v>11</v>
      </c>
      <c r="B59" s="42"/>
      <c r="C59" s="34"/>
      <c r="D59" s="42"/>
      <c r="E59" s="34"/>
      <c r="F59" s="42"/>
      <c r="G59" s="18"/>
      <c r="H59" s="18"/>
    </row>
    <row r="60" spans="1:9" x14ac:dyDescent="0.25">
      <c r="A60" s="20" t="s">
        <v>37</v>
      </c>
      <c r="B60" s="42"/>
      <c r="C60" s="34">
        <v>79893.62</v>
      </c>
      <c r="D60" s="42"/>
      <c r="E60" s="34">
        <v>85060</v>
      </c>
      <c r="F60" s="42"/>
      <c r="G60" s="18"/>
      <c r="H60" s="18">
        <v>74937.97</v>
      </c>
    </row>
    <row r="61" spans="1:9" x14ac:dyDescent="0.25">
      <c r="A61" s="20" t="s">
        <v>38</v>
      </c>
      <c r="B61" s="47"/>
      <c r="C61" s="32">
        <v>5166.75</v>
      </c>
      <c r="D61" s="47"/>
      <c r="E61" s="32">
        <v>4658</v>
      </c>
      <c r="F61" s="47"/>
      <c r="G61" s="18"/>
      <c r="H61" s="18">
        <f>SUM(H25)</f>
        <v>0</v>
      </c>
    </row>
    <row r="62" spans="1:9" x14ac:dyDescent="0.25">
      <c r="A62" s="20"/>
      <c r="B62" s="47"/>
      <c r="C62" s="34"/>
      <c r="D62" s="47"/>
      <c r="E62" s="34"/>
      <c r="F62" s="47"/>
      <c r="G62" s="18"/>
      <c r="H62" s="18"/>
    </row>
    <row r="63" spans="1:9" x14ac:dyDescent="0.25">
      <c r="A63" s="4" t="s">
        <v>12</v>
      </c>
      <c r="B63" s="42"/>
      <c r="C63" s="34">
        <f>SUM(C60:C61)</f>
        <v>85060.37</v>
      </c>
      <c r="D63" s="42"/>
      <c r="E63" s="34">
        <f>SUM(E60:E61)</f>
        <v>89718</v>
      </c>
      <c r="F63" s="42"/>
      <c r="G63" s="18"/>
      <c r="H63" s="18">
        <f>SUM(H60:H61)</f>
        <v>74937.97</v>
      </c>
    </row>
    <row r="64" spans="1:9" x14ac:dyDescent="0.25">
      <c r="B64" s="42"/>
      <c r="C64" s="34"/>
      <c r="D64" s="42"/>
      <c r="E64" s="34"/>
      <c r="F64" s="42"/>
      <c r="G64" s="18"/>
      <c r="H64" s="18"/>
    </row>
    <row r="65" spans="1:10" x14ac:dyDescent="0.25">
      <c r="A65" s="4" t="s">
        <v>25</v>
      </c>
      <c r="B65" s="42"/>
      <c r="C65" s="34"/>
      <c r="D65" s="42"/>
      <c r="E65" s="34"/>
      <c r="F65" s="42"/>
      <c r="G65" s="18"/>
      <c r="H65" s="18">
        <v>18000</v>
      </c>
    </row>
    <row r="66" spans="1:10" x14ac:dyDescent="0.25">
      <c r="B66" s="42"/>
      <c r="C66" s="34"/>
      <c r="D66" s="42"/>
      <c r="E66" s="34"/>
      <c r="F66" s="42"/>
      <c r="G66" s="18"/>
      <c r="H66" s="18"/>
    </row>
    <row r="67" spans="1:10" x14ac:dyDescent="0.25">
      <c r="A67" s="3" t="s">
        <v>13</v>
      </c>
      <c r="B67" s="48"/>
      <c r="C67" s="36">
        <f>SUM(C56,C57,C58,C63)</f>
        <v>85060.37</v>
      </c>
      <c r="D67" s="48"/>
      <c r="E67" s="36">
        <f>SUM(E56,E57,E58,E63)</f>
        <v>89718</v>
      </c>
      <c r="F67" s="48"/>
      <c r="G67" s="21"/>
      <c r="H67" s="21">
        <f>SUM(H63:H66)</f>
        <v>92937.97</v>
      </c>
      <c r="I67" s="28">
        <f>SUM(C52)-C67</f>
        <v>0</v>
      </c>
      <c r="J67" s="28">
        <f>SUM(E52)-E67</f>
        <v>-0.23999999999068677</v>
      </c>
    </row>
    <row r="68" spans="1:10" x14ac:dyDescent="0.25">
      <c r="B68" s="42"/>
      <c r="C68" s="34"/>
      <c r="D68" s="42"/>
      <c r="E68" s="34"/>
      <c r="F68" s="42"/>
      <c r="G68" s="18"/>
      <c r="H68" s="18"/>
    </row>
    <row r="69" spans="1:10" x14ac:dyDescent="0.25">
      <c r="B69" s="42"/>
      <c r="C69" s="34"/>
      <c r="D69" s="42"/>
      <c r="E69" s="34"/>
      <c r="F69" s="42"/>
      <c r="G69" s="18"/>
      <c r="H69" s="18"/>
    </row>
    <row r="70" spans="1:10" x14ac:dyDescent="0.25">
      <c r="A70" s="4" t="s">
        <v>78</v>
      </c>
      <c r="B70" s="42"/>
      <c r="C70" s="34"/>
      <c r="D70" s="42"/>
      <c r="E70" s="34"/>
      <c r="F70" s="42"/>
      <c r="G70" s="18"/>
      <c r="H70" s="18"/>
    </row>
    <row r="71" spans="1:10" x14ac:dyDescent="0.25">
      <c r="A71" s="57" t="s">
        <v>69</v>
      </c>
      <c r="C71" s="22"/>
      <c r="E71" s="22"/>
      <c r="G71" s="18"/>
      <c r="H71" s="18"/>
    </row>
    <row r="72" spans="1:10" x14ac:dyDescent="0.25">
      <c r="C72" s="22"/>
      <c r="E72" s="22"/>
      <c r="G72" s="18"/>
      <c r="H72" s="18"/>
    </row>
    <row r="73" spans="1:10" x14ac:dyDescent="0.25">
      <c r="C73" s="18"/>
      <c r="E73" s="18"/>
      <c r="G73" s="18"/>
      <c r="H73" s="18"/>
    </row>
    <row r="74" spans="1:10" x14ac:dyDescent="0.25">
      <c r="C74" s="18"/>
      <c r="E74" s="18"/>
      <c r="G74" s="18"/>
      <c r="H74" s="18"/>
    </row>
    <row r="75" spans="1:10" x14ac:dyDescent="0.25">
      <c r="C75" s="18"/>
      <c r="E75" s="18"/>
      <c r="G75" s="18"/>
      <c r="H75" s="18"/>
    </row>
    <row r="76" spans="1:10" x14ac:dyDescent="0.25">
      <c r="C76" s="4"/>
      <c r="E76" s="4"/>
    </row>
    <row r="77" spans="1:10" x14ac:dyDescent="0.25">
      <c r="C77" s="4"/>
      <c r="E77" s="4"/>
    </row>
    <row r="78" spans="1:10" x14ac:dyDescent="0.25">
      <c r="C78" s="4"/>
      <c r="E78" s="4"/>
    </row>
    <row r="79" spans="1:10" x14ac:dyDescent="0.25">
      <c r="C79" s="4"/>
      <c r="E79" s="4"/>
    </row>
    <row r="80" spans="1:10" x14ac:dyDescent="0.25">
      <c r="C80" s="4"/>
      <c r="E80" s="4"/>
    </row>
    <row r="81" spans="3:5" x14ac:dyDescent="0.25">
      <c r="C81" s="4"/>
      <c r="E81" s="4"/>
    </row>
    <row r="82" spans="3:5" x14ac:dyDescent="0.25">
      <c r="C82" s="4"/>
      <c r="E82" s="4"/>
    </row>
    <row r="83" spans="3:5" x14ac:dyDescent="0.25">
      <c r="C83" s="4"/>
      <c r="E83" s="4"/>
    </row>
    <row r="84" spans="3:5" x14ac:dyDescent="0.25">
      <c r="C84" s="4"/>
      <c r="E84" s="4"/>
    </row>
    <row r="85" spans="3:5" x14ac:dyDescent="0.25">
      <c r="C85" s="4"/>
      <c r="E85" s="4"/>
    </row>
    <row r="86" spans="3:5" x14ac:dyDescent="0.25">
      <c r="E86" s="4"/>
    </row>
  </sheetData>
  <pageMargins left="0.75" right="0.75" top="1" bottom="1" header="0" footer="0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Afstemning bank</vt:lpstr>
      <vt:lpstr>Årsregnskab + budget</vt:lpstr>
      <vt:lpstr>'Årsregnskab + budget'!Udskriftsområde</vt:lpstr>
    </vt:vector>
  </TitlesOfParts>
  <Company>:-)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22.11.05</dc:subject>
  <dc:creator>Jørgen Jacobsen</dc:creator>
  <cp:lastModifiedBy>Regina Müller</cp:lastModifiedBy>
  <cp:lastPrinted>2011-07-12T13:19:42Z</cp:lastPrinted>
  <dcterms:created xsi:type="dcterms:W3CDTF">2002-08-22T19:39:11Z</dcterms:created>
  <dcterms:modified xsi:type="dcterms:W3CDTF">2020-01-21T19:02:38Z</dcterms:modified>
</cp:coreProperties>
</file>